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 firstSheet="1" activeTab="3"/>
  </bookViews>
  <sheets>
    <sheet name="Black Cubes" sheetId="1" r:id="rId1"/>
    <sheet name="Red Cubes" sheetId="2" r:id="rId2"/>
    <sheet name="Rolling Averages" sheetId="3" r:id="rId3"/>
    <sheet name="Expected Cost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P5" i="4"/>
  <c r="P3" i="4"/>
  <c r="M3" i="4"/>
  <c r="O3" i="4"/>
  <c r="L3" i="4"/>
  <c r="F14" i="4" l="1"/>
  <c r="E14" i="4"/>
  <c r="E13" i="4"/>
  <c r="E6" i="4"/>
  <c r="E7" i="4"/>
  <c r="E8" i="4"/>
  <c r="E9" i="4"/>
  <c r="E10" i="4"/>
  <c r="E11" i="4"/>
  <c r="E12" i="4"/>
  <c r="E5" i="4"/>
  <c r="C2" i="4"/>
  <c r="F9" i="4" s="1"/>
  <c r="B2" i="4"/>
  <c r="F13" i="4" s="1"/>
  <c r="F12" i="4" l="1"/>
  <c r="F8" i="4"/>
  <c r="I6" i="4" s="1"/>
  <c r="F11" i="4"/>
  <c r="F7" i="4"/>
  <c r="I5" i="4"/>
  <c r="F10" i="4"/>
  <c r="F6" i="4"/>
  <c r="I7" i="4" s="1"/>
  <c r="F5" i="4"/>
  <c r="I8" i="4" s="1"/>
  <c r="J8" i="4" s="1"/>
  <c r="C10" i="3"/>
  <c r="E10" i="3"/>
  <c r="D10" i="3"/>
  <c r="B10" i="3"/>
  <c r="E4" i="1"/>
  <c r="J7" i="4" l="1"/>
  <c r="I11" i="4"/>
  <c r="J11" i="4" s="1"/>
  <c r="J6" i="4"/>
  <c r="I10" i="4"/>
  <c r="J10" i="4" s="1"/>
  <c r="J5" i="4"/>
  <c r="I9" i="4"/>
  <c r="J9" i="4" s="1"/>
  <c r="D7" i="2"/>
  <c r="I3" i="1"/>
  <c r="J3" i="1"/>
  <c r="L5" i="3" l="1"/>
  <c r="F11" i="3"/>
  <c r="C11" i="3"/>
  <c r="D11" i="3"/>
  <c r="B11" i="3"/>
  <c r="B5" i="3"/>
  <c r="C5" i="3"/>
  <c r="D5" i="3"/>
  <c r="H5" i="3"/>
  <c r="J5" i="3"/>
  <c r="E11" i="3" l="1"/>
  <c r="H5" i="2"/>
  <c r="E5" i="3" s="1"/>
  <c r="I5" i="2"/>
  <c r="F5" i="3" s="1"/>
  <c r="J5" i="2"/>
  <c r="G5" i="3" s="1"/>
  <c r="L5" i="2"/>
  <c r="I5" i="3" s="1"/>
  <c r="N5" i="2"/>
  <c r="K5" i="3" s="1"/>
  <c r="D5" i="2"/>
  <c r="B4" i="3" s="1"/>
  <c r="P4" i="2" l="1"/>
  <c r="D4" i="3" l="1"/>
  <c r="H4" i="3"/>
  <c r="E4" i="3"/>
  <c r="I4" i="3"/>
  <c r="K4" i="3"/>
  <c r="F4" i="3"/>
  <c r="G4" i="3"/>
  <c r="C4" i="3"/>
  <c r="J4" i="3"/>
  <c r="K3" i="1" l="1"/>
  <c r="M3" i="1" l="1"/>
  <c r="L3" i="1"/>
</calcChain>
</file>

<file path=xl/sharedStrings.xml><?xml version="1.0" encoding="utf-8"?>
<sst xmlns="http://schemas.openxmlformats.org/spreadsheetml/2006/main" count="82" uniqueCount="47">
  <si>
    <t>Date</t>
  </si>
  <si>
    <t>Total</t>
  </si>
  <si>
    <t>Drop</t>
  </si>
  <si>
    <t>IGN</t>
  </si>
  <si>
    <t>Fearcely</t>
  </si>
  <si>
    <t>Drop %</t>
  </si>
  <si>
    <t>2+ LL %</t>
  </si>
  <si>
    <t>jeffim</t>
  </si>
  <si>
    <t>2 LLs</t>
  </si>
  <si>
    <t>3 LLs</t>
  </si>
  <si>
    <t>Double drop ENC</t>
  </si>
  <si>
    <t>Double drop sale EC</t>
  </si>
  <si>
    <t>Double drop regular EC</t>
  </si>
  <si>
    <t>ENC = Expected # of cubes</t>
  </si>
  <si>
    <t>EC = Expected cost in billions</t>
  </si>
  <si>
    <t>ALL</t>
  </si>
  <si>
    <t>DEX</t>
  </si>
  <si>
    <t>INT</t>
  </si>
  <si>
    <t>LUK</t>
  </si>
  <si>
    <t>STR</t>
  </si>
  <si>
    <t>DEF</t>
  </si>
  <si>
    <t>HP</t>
  </si>
  <si>
    <t>Mizeku</t>
  </si>
  <si>
    <t>Item(s)</t>
  </si>
  <si>
    <t>SS Ring</t>
  </si>
  <si>
    <t>Sup. Pend</t>
  </si>
  <si>
    <t>Sup. Pend and Sup. Ring</t>
  </si>
  <si>
    <t>SW Eye and SW Face</t>
  </si>
  <si>
    <t>Red cube rolling averages</t>
  </si>
  <si>
    <t>2+ LLs</t>
  </si>
  <si>
    <t>Black cube rolling averages</t>
  </si>
  <si>
    <t>Totals</t>
  </si>
  <si>
    <t>Wubsly</t>
  </si>
  <si>
    <t>STAT</t>
  </si>
  <si>
    <t>Line 1</t>
  </si>
  <si>
    <t>Line 2</t>
  </si>
  <si>
    <t>Line 3</t>
  </si>
  <si>
    <t>*</t>
  </si>
  <si>
    <t>Stat %</t>
  </si>
  <si>
    <t>Prb</t>
  </si>
  <si>
    <t>Cost (b)</t>
  </si>
  <si>
    <t>21+</t>
  </si>
  <si>
    <t>24+</t>
  </si>
  <si>
    <t>27+</t>
  </si>
  <si>
    <t>Reds</t>
  </si>
  <si>
    <t>Blacks</t>
  </si>
  <si>
    <t>2L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</si>
</sst>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2" fillId="0" borderId="0" xfId="0" applyFont="1"/>
    <xf numFmtId="165" fontId="0" fillId="0" borderId="0" xfId="0" applyNumberFormat="1"/>
    <xf numFmtId="0" fontId="3" fillId="2" borderId="2" xfId="0" applyFont="1" applyFill="1" applyBorder="1"/>
    <xf numFmtId="0" fontId="3" fillId="2" borderId="3" xfId="0" applyFont="1" applyFill="1" applyBorder="1"/>
    <xf numFmtId="14" fontId="0" fillId="0" borderId="4" xfId="0" applyNumberFormat="1" applyFont="1" applyBorder="1"/>
    <xf numFmtId="14" fontId="0" fillId="0" borderId="1" xfId="0" applyNumberFormat="1" applyFont="1" applyBorder="1"/>
    <xf numFmtId="0" fontId="0" fillId="0" borderId="0" xfId="0" applyBorder="1"/>
    <xf numFmtId="10" fontId="0" fillId="0" borderId="2" xfId="1" applyNumberFormat="1" applyFont="1" applyBorder="1"/>
    <xf numFmtId="0" fontId="4" fillId="0" borderId="0" xfId="0" applyFont="1"/>
    <xf numFmtId="0" fontId="3" fillId="2" borderId="0" xfId="0" applyFont="1" applyFill="1" applyBorder="1"/>
    <xf numFmtId="10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4">
    <dxf>
      <numFmt numFmtId="165" formatCode="0.000"/>
    </dxf>
    <dxf>
      <numFmt numFmtId="164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B2:G4" totalsRowShown="0">
  <autoFilter ref="B2:G4"/>
  <tableColumns count="6">
    <tableColumn id="1" name="Date" dataDxfId="3"/>
    <tableColumn id="2" name="Total"/>
    <tableColumn id="4" name="Drop"/>
    <tableColumn id="5" name="2 LLs"/>
    <tableColumn id="3" name="3 LLs"/>
    <tableColumn id="6" name="IGN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O7" totalsRowShown="0">
  <autoFilter ref="B2:O7"/>
  <tableColumns count="14">
    <tableColumn id="1" name="Date" dataDxfId="2"/>
    <tableColumn id="2" name="IGN"/>
    <tableColumn id="3" name="Total"/>
    <tableColumn id="4" name="Drop"/>
    <tableColumn id="5" name="2 LLs"/>
    <tableColumn id="6" name="3 LLs"/>
    <tableColumn id="7" name="ALL"/>
    <tableColumn id="8" name="DEX"/>
    <tableColumn id="9" name="INT"/>
    <tableColumn id="10" name="LUK"/>
    <tableColumn id="11" name="STR"/>
    <tableColumn id="12" name="DEF"/>
    <tableColumn id="13" name="HP"/>
    <tableColumn id="16" name="Item(s)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4:F14" totalsRowShown="0">
  <autoFilter ref="B4:F14"/>
  <tableColumns count="5">
    <tableColumn id="1" name="Line 1"/>
    <tableColumn id="2" name="Line 2"/>
    <tableColumn id="3" name="Line 3"/>
    <tableColumn id="4" name="Stat %">
      <calculatedColumnFormula>SUM(B5:D5)</calculatedColumnFormula>
    </tableColumn>
    <tableColumn id="5" name="Prb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4:J11" totalsRowShown="0">
  <autoFilter ref="H4:J11"/>
  <tableColumns count="3">
    <tableColumn id="1" name="Stat %"/>
    <tableColumn id="2" name="Prb" dataDxfId="1" dataCellStyle="Percent">
      <calculatedColumnFormula>SUMIF(Table3[Stat %],Table4[Stat %],Table3[Prb])</calculatedColumnFormula>
    </tableColumn>
    <tableColumn id="3" name="Cost (b)" dataDxfId="0">
      <calculatedColumnFormula>1/I5*12 / 1000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"/>
  <sheetViews>
    <sheetView workbookViewId="0">
      <selection activeCell="K14" sqref="K14"/>
    </sheetView>
  </sheetViews>
  <sheetFormatPr defaultRowHeight="15" x14ac:dyDescent="0.25"/>
  <cols>
    <col min="2" max="2" width="9.7109375" bestFit="1" customWidth="1"/>
    <col min="11" max="11" width="16.140625" bestFit="1" customWidth="1"/>
    <col min="12" max="12" width="18.85546875" bestFit="1" customWidth="1"/>
    <col min="13" max="13" width="21.7109375" bestFit="1" customWidth="1"/>
  </cols>
  <sheetData>
    <row r="1" spans="2:16" x14ac:dyDescent="0.25">
      <c r="I1" t="s">
        <v>13</v>
      </c>
      <c r="M1" t="s">
        <v>14</v>
      </c>
    </row>
    <row r="2" spans="2:16" x14ac:dyDescent="0.25">
      <c r="B2" t="s">
        <v>0</v>
      </c>
      <c r="C2" t="s">
        <v>1</v>
      </c>
      <c r="D2" t="s">
        <v>2</v>
      </c>
      <c r="E2" t="s">
        <v>8</v>
      </c>
      <c r="F2" t="s">
        <v>9</v>
      </c>
      <c r="G2" t="s">
        <v>3</v>
      </c>
      <c r="I2" s="3" t="s">
        <v>6</v>
      </c>
      <c r="J2" s="3" t="s">
        <v>5</v>
      </c>
      <c r="K2" s="3" t="s">
        <v>10</v>
      </c>
      <c r="L2" s="3" t="s">
        <v>11</v>
      </c>
      <c r="M2" s="3" t="s">
        <v>12</v>
      </c>
      <c r="P2" s="3"/>
    </row>
    <row r="3" spans="2:16" x14ac:dyDescent="0.25">
      <c r="B3" s="1">
        <v>42804</v>
      </c>
      <c r="C3">
        <v>459</v>
      </c>
      <c r="D3">
        <v>42</v>
      </c>
      <c r="E3">
        <v>100</v>
      </c>
      <c r="F3">
        <v>3</v>
      </c>
      <c r="G3" t="s">
        <v>4</v>
      </c>
      <c r="I3" s="2">
        <f>SUM(Table1[[2 LLs]:[3 LLs]])/SUM(Table1[Total])</f>
        <v>0.23809523809523808</v>
      </c>
      <c r="J3" s="2">
        <f>SUM(Table1[Drop])/(SUM(Table1[Total]) + SUM(Table1[2 LLs]) + SUM(Table1[3 LLs])*2)</f>
        <v>7.106854838709678E-2</v>
      </c>
      <c r="K3" s="4">
        <f>1/I3/J3^2</f>
        <v>831.56155122981727</v>
      </c>
      <c r="L3" s="4">
        <f>K3*16.5/1000</f>
        <v>13.720765595291985</v>
      </c>
      <c r="M3" s="4">
        <f>K3*22/1000</f>
        <v>18.294354127055978</v>
      </c>
    </row>
    <row r="4" spans="2:16" x14ac:dyDescent="0.25">
      <c r="B4" s="1">
        <v>42819</v>
      </c>
      <c r="C4">
        <v>1137</v>
      </c>
      <c r="D4">
        <v>99</v>
      </c>
      <c r="E4">
        <f>157 +  115</f>
        <v>272</v>
      </c>
      <c r="F4">
        <v>5</v>
      </c>
      <c r="G4" t="s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"/>
  <sheetViews>
    <sheetView zoomScale="85" zoomScaleNormal="85" workbookViewId="0">
      <selection activeCell="D9" sqref="D9"/>
    </sheetView>
  </sheetViews>
  <sheetFormatPr defaultRowHeight="15" x14ac:dyDescent="0.25"/>
  <cols>
    <col min="2" max="2" width="9.7109375" bestFit="1" customWidth="1"/>
    <col min="11" max="13" width="9.140625" customWidth="1"/>
    <col min="15" max="15" width="9.85546875" bestFit="1" customWidth="1"/>
  </cols>
  <sheetData>
    <row r="2" spans="2:16" x14ac:dyDescent="0.25">
      <c r="B2" t="s">
        <v>0</v>
      </c>
      <c r="C2" t="s">
        <v>3</v>
      </c>
      <c r="D2" t="s">
        <v>1</v>
      </c>
      <c r="E2" t="s">
        <v>2</v>
      </c>
      <c r="F2" t="s">
        <v>8</v>
      </c>
      <c r="G2" t="s">
        <v>9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23</v>
      </c>
    </row>
    <row r="3" spans="2:16" x14ac:dyDescent="0.25">
      <c r="B3" s="7">
        <v>42805</v>
      </c>
      <c r="C3" t="s">
        <v>7</v>
      </c>
      <c r="D3">
        <v>336</v>
      </c>
      <c r="E3">
        <v>25</v>
      </c>
      <c r="F3">
        <v>37</v>
      </c>
      <c r="G3">
        <v>2</v>
      </c>
      <c r="H3">
        <v>92</v>
      </c>
      <c r="I3">
        <v>122</v>
      </c>
      <c r="J3">
        <v>102</v>
      </c>
      <c r="K3">
        <v>88</v>
      </c>
      <c r="L3">
        <v>106</v>
      </c>
      <c r="M3">
        <v>105</v>
      </c>
      <c r="N3">
        <v>138</v>
      </c>
      <c r="O3" t="s">
        <v>24</v>
      </c>
    </row>
    <row r="4" spans="2:16" x14ac:dyDescent="0.25">
      <c r="B4" s="8">
        <v>42805</v>
      </c>
      <c r="C4" s="9" t="s">
        <v>7</v>
      </c>
      <c r="D4" s="9">
        <v>152</v>
      </c>
      <c r="E4" s="9">
        <v>14</v>
      </c>
      <c r="F4" s="9">
        <v>16</v>
      </c>
      <c r="G4" s="9">
        <v>0</v>
      </c>
      <c r="H4" s="9">
        <v>41</v>
      </c>
      <c r="I4" s="9">
        <v>47</v>
      </c>
      <c r="J4" s="9">
        <v>48</v>
      </c>
      <c r="K4" s="9">
        <v>45</v>
      </c>
      <c r="L4" s="9">
        <v>34</v>
      </c>
      <c r="M4" s="9">
        <v>56</v>
      </c>
      <c r="N4" s="9">
        <v>63</v>
      </c>
      <c r="O4" s="9" t="s">
        <v>25</v>
      </c>
      <c r="P4" s="11">
        <f>SUM(Table2[Total])</f>
        <v>1204</v>
      </c>
    </row>
    <row r="5" spans="2:16" x14ac:dyDescent="0.25">
      <c r="B5" s="8">
        <v>42805</v>
      </c>
      <c r="C5" s="9" t="s">
        <v>22</v>
      </c>
      <c r="D5" s="9">
        <f>51+274</f>
        <v>325</v>
      </c>
      <c r="E5" s="9">
        <v>27</v>
      </c>
      <c r="F5" s="9">
        <v>32</v>
      </c>
      <c r="G5" s="9">
        <v>0</v>
      </c>
      <c r="H5" s="9">
        <f>15+ 76</f>
        <v>91</v>
      </c>
      <c r="I5" s="9">
        <f>14 + 86</f>
        <v>100</v>
      </c>
      <c r="J5" s="9">
        <f>16 + 97</f>
        <v>113</v>
      </c>
      <c r="K5" s="9">
        <v>109</v>
      </c>
      <c r="L5" s="9">
        <f>16 + 92</f>
        <v>108</v>
      </c>
      <c r="M5" s="9">
        <v>87</v>
      </c>
      <c r="N5" s="9">
        <f xml:space="preserve"> 18 + 94</f>
        <v>112</v>
      </c>
      <c r="O5" s="9" t="s">
        <v>26</v>
      </c>
    </row>
    <row r="6" spans="2:16" x14ac:dyDescent="0.25">
      <c r="B6" s="8">
        <v>42805</v>
      </c>
      <c r="C6" s="9" t="s">
        <v>22</v>
      </c>
      <c r="D6" s="9">
        <v>113</v>
      </c>
      <c r="E6" s="9">
        <v>6</v>
      </c>
      <c r="F6" s="9">
        <v>15</v>
      </c>
      <c r="G6" s="9">
        <v>0</v>
      </c>
      <c r="H6" s="9">
        <v>25</v>
      </c>
      <c r="I6" s="9">
        <v>34</v>
      </c>
      <c r="J6" s="9">
        <v>35</v>
      </c>
      <c r="K6" s="9">
        <v>24</v>
      </c>
      <c r="L6" s="9">
        <v>41</v>
      </c>
      <c r="M6" s="9">
        <v>38</v>
      </c>
      <c r="N6" s="9">
        <v>43</v>
      </c>
      <c r="O6" s="9" t="s">
        <v>27</v>
      </c>
    </row>
    <row r="7" spans="2:16" x14ac:dyDescent="0.25">
      <c r="B7" s="8">
        <v>42819</v>
      </c>
      <c r="C7" s="9" t="s">
        <v>32</v>
      </c>
      <c r="D7" s="9">
        <f>249+29</f>
        <v>278</v>
      </c>
      <c r="E7" s="9">
        <v>21</v>
      </c>
      <c r="F7" s="9">
        <v>29</v>
      </c>
      <c r="G7" s="9">
        <v>0</v>
      </c>
      <c r="H7" s="9">
        <v>49</v>
      </c>
      <c r="I7" s="9">
        <v>103</v>
      </c>
      <c r="J7" s="9">
        <v>89</v>
      </c>
      <c r="K7" s="9">
        <v>75</v>
      </c>
      <c r="L7" s="9">
        <v>95</v>
      </c>
      <c r="M7" s="9">
        <v>80</v>
      </c>
      <c r="N7" s="9">
        <v>107</v>
      </c>
      <c r="O7" s="9" t="s">
        <v>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F30" sqref="F30"/>
    </sheetView>
  </sheetViews>
  <sheetFormatPr defaultRowHeight="15" x14ac:dyDescent="0.25"/>
  <sheetData>
    <row r="2" spans="1:12" x14ac:dyDescent="0.25"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B3" s="5" t="s">
        <v>2</v>
      </c>
      <c r="C3" s="5" t="s">
        <v>8</v>
      </c>
      <c r="D3" s="5" t="s">
        <v>9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6" t="s">
        <v>21</v>
      </c>
      <c r="L3" s="12" t="s">
        <v>31</v>
      </c>
    </row>
    <row r="4" spans="1:12" x14ac:dyDescent="0.25">
      <c r="B4" s="10">
        <f>B5/(SUM(Table2[Total])+SUM(Table2[2 LLs])+2*SUM(Table2[3 LLs]))</f>
        <v>6.9558713537771127E-2</v>
      </c>
      <c r="C4" s="10">
        <f>C5/'Red Cubes'!$P$4</f>
        <v>0.10714285714285714</v>
      </c>
      <c r="D4" s="10">
        <f>D5/'Red Cubes'!$P$4</f>
        <v>1.6611295681063123E-3</v>
      </c>
      <c r="E4" s="10">
        <f>E5/'Red Cubes'!$P$4/3</f>
        <v>8.2502768549280181E-2</v>
      </c>
      <c r="F4" s="10">
        <f>F5/'Red Cubes'!$P$4/3</f>
        <v>0.11240310077519379</v>
      </c>
      <c r="G4" s="10">
        <f>G5/'Red Cubes'!$P$4/3</f>
        <v>0.10714285714285715</v>
      </c>
      <c r="H4" s="10">
        <f>H5/'Red Cubes'!$P$4/3</f>
        <v>9.4407530454042085E-2</v>
      </c>
      <c r="I4" s="10">
        <f>I5/'Red Cubes'!$P$4/3</f>
        <v>0.10631229235880398</v>
      </c>
      <c r="J4" s="10">
        <f>J5/'Red Cubes'!$P$4/3</f>
        <v>0.10132890365448505</v>
      </c>
      <c r="K4" s="10">
        <f>K5/'Red Cubes'!$P$4/3</f>
        <v>0.12818383167220376</v>
      </c>
    </row>
    <row r="5" spans="1:12" x14ac:dyDescent="0.25">
      <c r="A5" t="s">
        <v>31</v>
      </c>
      <c r="B5">
        <f>SUM(Table2[Drop])</f>
        <v>93</v>
      </c>
      <c r="C5">
        <f>SUM(Table2[2 LLs])</f>
        <v>129</v>
      </c>
      <c r="D5">
        <f>SUM(Table2[3 LLs])</f>
        <v>2</v>
      </c>
      <c r="E5">
        <f>SUM(Table2[ALL])</f>
        <v>298</v>
      </c>
      <c r="F5">
        <f>SUM(Table2[DEX])</f>
        <v>406</v>
      </c>
      <c r="G5">
        <f>SUM(Table2[INT])</f>
        <v>387</v>
      </c>
      <c r="H5">
        <f>SUM(Table2[LUK])</f>
        <v>341</v>
      </c>
      <c r="I5">
        <f>SUM(Table2[STR])</f>
        <v>384</v>
      </c>
      <c r="J5">
        <f>SUM(Table2[DEF])</f>
        <v>366</v>
      </c>
      <c r="K5">
        <f>SUM(Table2[HP])</f>
        <v>463</v>
      </c>
      <c r="L5">
        <f>SUM(Table2[Total])</f>
        <v>1204</v>
      </c>
    </row>
    <row r="8" spans="1:12" x14ac:dyDescent="0.25">
      <c r="B8" s="14" t="s">
        <v>30</v>
      </c>
      <c r="C8" s="14"/>
      <c r="D8" s="14"/>
      <c r="E8" s="14"/>
      <c r="F8" s="14"/>
    </row>
    <row r="9" spans="1:12" x14ac:dyDescent="0.25">
      <c r="B9" s="5" t="s">
        <v>2</v>
      </c>
      <c r="C9" s="5" t="s">
        <v>8</v>
      </c>
      <c r="D9" s="5" t="s">
        <v>9</v>
      </c>
      <c r="E9" s="5" t="s">
        <v>29</v>
      </c>
      <c r="F9" s="12" t="s">
        <v>1</v>
      </c>
    </row>
    <row r="10" spans="1:12" x14ac:dyDescent="0.25">
      <c r="B10" s="10">
        <f>SUM(Table1[Drop])/(SUM(Table1[Total])+SUM(Table1[2 LLs])+2*SUM(Table1[3 LLs]))</f>
        <v>7.106854838709678E-2</v>
      </c>
      <c r="C10" s="10">
        <f>SUM(Table1[2 LLs])/SUM(Table1[Total])</f>
        <v>0.23308270676691728</v>
      </c>
      <c r="D10" s="10">
        <f>D11/SUM(Table1[Total])</f>
        <v>5.0125313283208017E-3</v>
      </c>
      <c r="E10" s="10">
        <f>SUM(Table1[[2 LLs]:[3 LLs]])/SUM(Table1[Total])</f>
        <v>0.23809523809523808</v>
      </c>
    </row>
    <row r="11" spans="1:12" x14ac:dyDescent="0.25">
      <c r="A11" t="s">
        <v>31</v>
      </c>
      <c r="B11">
        <f>SUM(Table1[Drop])</f>
        <v>141</v>
      </c>
      <c r="C11">
        <f>SUM(Table1[2 LLs])</f>
        <v>372</v>
      </c>
      <c r="D11">
        <f>SUM(Table1[3 LLs])</f>
        <v>8</v>
      </c>
      <c r="E11">
        <f>SUM(C11:D11)</f>
        <v>380</v>
      </c>
      <c r="F11">
        <f>SUM(Table1[Total])</f>
        <v>1596</v>
      </c>
    </row>
  </sheetData>
  <mergeCells count="2">
    <mergeCell ref="B2:L2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tabSelected="1" workbookViewId="0">
      <selection activeCell="N15" sqref="N15"/>
    </sheetView>
  </sheetViews>
  <sheetFormatPr defaultRowHeight="15" x14ac:dyDescent="0.25"/>
  <sheetData>
    <row r="1" spans="2:16" x14ac:dyDescent="0.25">
      <c r="B1" s="3" t="s">
        <v>33</v>
      </c>
      <c r="C1" s="3" t="s">
        <v>15</v>
      </c>
      <c r="L1" s="15" t="s">
        <v>44</v>
      </c>
      <c r="M1" s="15"/>
      <c r="O1" s="16" t="s">
        <v>45</v>
      </c>
      <c r="P1" s="16"/>
    </row>
    <row r="2" spans="2:16" x14ac:dyDescent="0.25">
      <c r="B2" s="13">
        <f>AVERAGE('Rolling Averages'!F4:I4)</f>
        <v>0.10506644518272425</v>
      </c>
      <c r="C2" s="13">
        <f>'Rolling Averages'!E4</f>
        <v>8.2502768549280181E-2</v>
      </c>
      <c r="L2" t="s">
        <v>29</v>
      </c>
      <c r="M2" t="s">
        <v>2</v>
      </c>
      <c r="O2" t="s">
        <v>29</v>
      </c>
      <c r="P2" t="s">
        <v>2</v>
      </c>
    </row>
    <row r="3" spans="2:16" x14ac:dyDescent="0.25">
      <c r="L3" s="13">
        <f>SUM('Rolling Averages'!C4:D4)</f>
        <v>0.10880398671096345</v>
      </c>
      <c r="M3" s="13">
        <f>'Rolling Averages'!B4</f>
        <v>6.9558713537771127E-2</v>
      </c>
      <c r="O3" s="13">
        <f>'Rolling Averages'!E10</f>
        <v>0.23809523809523808</v>
      </c>
      <c r="P3" s="13">
        <f>'Rolling Averages'!B10</f>
        <v>7.106854838709678E-2</v>
      </c>
    </row>
    <row r="4" spans="2:16" x14ac:dyDescent="0.25">
      <c r="B4" t="s">
        <v>34</v>
      </c>
      <c r="C4" t="s">
        <v>35</v>
      </c>
      <c r="D4" t="s">
        <v>36</v>
      </c>
      <c r="E4" t="s">
        <v>38</v>
      </c>
      <c r="F4" t="s">
        <v>39</v>
      </c>
      <c r="H4" t="s">
        <v>38</v>
      </c>
      <c r="I4" t="s">
        <v>39</v>
      </c>
      <c r="J4" t="s">
        <v>40</v>
      </c>
    </row>
    <row r="5" spans="2:16" x14ac:dyDescent="0.25">
      <c r="B5">
        <v>12</v>
      </c>
      <c r="C5">
        <v>9</v>
      </c>
      <c r="D5">
        <v>9</v>
      </c>
      <c r="E5">
        <f>SUM(B5:D5)</f>
        <v>30</v>
      </c>
      <c r="F5">
        <f>IF(Table3[[#This Row],[Line 1]]=12,$B$2,$C$2) * IF(Table3[[#This Row],[Line 2]]=9,$B$2,$C$2) * IF(Table3[[#This Row],[Line 3]]=9,$B$2,$C$2)</f>
        <v>1.1598240654250842E-3</v>
      </c>
      <c r="H5">
        <v>21</v>
      </c>
      <c r="I5" s="2">
        <f>SUMIF(Table3[Stat %],Table4[Stat %],Table3[Prb])</f>
        <v>2.2639487963881488E-2</v>
      </c>
      <c r="J5" s="4">
        <f t="shared" ref="J5:J11" si="0">1/I5*12 / 1000</f>
        <v>0.53004732347058914</v>
      </c>
      <c r="L5" t="s">
        <v>46</v>
      </c>
      <c r="M5" s="18">
        <f>1/L3/M3^2*12/1000</f>
        <v>22.794672385899975</v>
      </c>
      <c r="O5" t="s">
        <v>46</v>
      </c>
      <c r="P5" s="17">
        <f>1/(O3*P3^2)*22/1000</f>
        <v>18.294354127055978</v>
      </c>
    </row>
    <row r="6" spans="2:16" x14ac:dyDescent="0.25">
      <c r="B6">
        <v>12</v>
      </c>
      <c r="C6">
        <v>9</v>
      </c>
      <c r="D6">
        <v>6</v>
      </c>
      <c r="E6">
        <f t="shared" ref="E6:E12" si="1">SUM(B6:D6)</f>
        <v>27</v>
      </c>
      <c r="F6">
        <f>IF(Table3[[#This Row],[Line 1]]=12,$B$2,$C$2) * IF(Table3[[#This Row],[Line 2]]=9,$B$2,$C$2) * IF(Table3[[#This Row],[Line 3]]=9,$B$2,$C$2)</f>
        <v>9.1074458892404517E-4</v>
      </c>
      <c r="H6">
        <v>24</v>
      </c>
      <c r="I6" s="2">
        <f>SUMIF(Table3[Stat %],Table4[Stat %],Table3[Prb])</f>
        <v>2.1454694663981463E-3</v>
      </c>
      <c r="J6" s="4">
        <f t="shared" si="0"/>
        <v>5.5931814402121605</v>
      </c>
    </row>
    <row r="7" spans="2:16" x14ac:dyDescent="0.25">
      <c r="B7">
        <v>12</v>
      </c>
      <c r="C7">
        <v>6</v>
      </c>
      <c r="D7">
        <v>9</v>
      </c>
      <c r="E7">
        <f t="shared" si="1"/>
        <v>27</v>
      </c>
      <c r="F7">
        <f>IF(Table3[[#This Row],[Line 1]]=12,$B$2,$C$2) * IF(Table3[[#This Row],[Line 2]]=9,$B$2,$C$2) * IF(Table3[[#This Row],[Line 3]]=9,$B$2,$C$2)</f>
        <v>9.1074458892404506E-4</v>
      </c>
      <c r="H7">
        <v>27</v>
      </c>
      <c r="I7" s="2">
        <f>SUMIF(Table3[Stat %],Table4[Stat %],Table3[Prb])</f>
        <v>2.7322337667721355E-3</v>
      </c>
      <c r="J7" s="4">
        <f t="shared" si="0"/>
        <v>4.3920107224854394</v>
      </c>
    </row>
    <row r="8" spans="2:16" x14ac:dyDescent="0.25">
      <c r="B8">
        <v>12</v>
      </c>
      <c r="C8">
        <v>6</v>
      </c>
      <c r="D8">
        <v>6</v>
      </c>
      <c r="E8">
        <f t="shared" si="1"/>
        <v>24</v>
      </c>
      <c r="F8">
        <f>IF(Table3[[#This Row],[Line 1]]=12,$B$2,$C$2) * IF(Table3[[#This Row],[Line 2]]=9,$B$2,$C$2) * IF(Table3[[#This Row],[Line 3]]=9,$B$2,$C$2)</f>
        <v>7.1515648879938204E-4</v>
      </c>
      <c r="H8">
        <v>30</v>
      </c>
      <c r="I8" s="2">
        <f>SUMIF(Table3[Stat %],Table4[Stat %],Table3[Prb])</f>
        <v>1.1598240654250842E-3</v>
      </c>
      <c r="J8" s="4">
        <f t="shared" si="0"/>
        <v>10.346396800795739</v>
      </c>
    </row>
    <row r="9" spans="2:16" x14ac:dyDescent="0.25">
      <c r="B9">
        <v>9</v>
      </c>
      <c r="C9">
        <v>9</v>
      </c>
      <c r="D9">
        <v>9</v>
      </c>
      <c r="E9">
        <f t="shared" si="1"/>
        <v>27</v>
      </c>
      <c r="F9">
        <f>IF(Table3[[#This Row],[Line 1]]=12,$B$2,$C$2) * IF(Table3[[#This Row],[Line 2]]=9,$B$2,$C$2) * IF(Table3[[#This Row],[Line 3]]=9,$B$2,$C$2)</f>
        <v>9.1074458892404506E-4</v>
      </c>
      <c r="H9" t="s">
        <v>41</v>
      </c>
      <c r="I9" s="2">
        <f>SUM(I5:I8)</f>
        <v>2.8677015262476856E-2</v>
      </c>
      <c r="J9" s="4">
        <f t="shared" si="0"/>
        <v>0.41845359045094538</v>
      </c>
    </row>
    <row r="10" spans="2:16" x14ac:dyDescent="0.25">
      <c r="B10">
        <v>9</v>
      </c>
      <c r="C10">
        <v>9</v>
      </c>
      <c r="D10">
        <v>6</v>
      </c>
      <c r="E10">
        <f t="shared" si="1"/>
        <v>24</v>
      </c>
      <c r="F10">
        <f>IF(Table3[[#This Row],[Line 1]]=12,$B$2,$C$2) * IF(Table3[[#This Row],[Line 2]]=9,$B$2,$C$2) * IF(Table3[[#This Row],[Line 3]]=9,$B$2,$C$2)</f>
        <v>7.1515648879938204E-4</v>
      </c>
      <c r="H10" t="s">
        <v>42</v>
      </c>
      <c r="I10" s="2">
        <f>SUM(I6:I8)</f>
        <v>6.0375272985953663E-3</v>
      </c>
      <c r="J10" s="4">
        <f t="shared" si="0"/>
        <v>1.9875686529470113</v>
      </c>
    </row>
    <row r="11" spans="2:16" x14ac:dyDescent="0.25">
      <c r="B11">
        <v>9</v>
      </c>
      <c r="C11">
        <v>6</v>
      </c>
      <c r="D11">
        <v>9</v>
      </c>
      <c r="E11">
        <f t="shared" si="1"/>
        <v>24</v>
      </c>
      <c r="F11">
        <f>IF(Table3[[#This Row],[Line 1]]=12,$B$2,$C$2) * IF(Table3[[#This Row],[Line 2]]=9,$B$2,$C$2) * IF(Table3[[#This Row],[Line 3]]=9,$B$2,$C$2)</f>
        <v>7.1515648879938204E-4</v>
      </c>
      <c r="H11" t="s">
        <v>43</v>
      </c>
      <c r="I11" s="2">
        <f>SUM(I7:I8)</f>
        <v>3.89205783219722E-3</v>
      </c>
      <c r="J11" s="4">
        <f t="shared" si="0"/>
        <v>3.0832018734997901</v>
      </c>
    </row>
    <row r="12" spans="2:16" x14ac:dyDescent="0.25">
      <c r="B12">
        <v>9</v>
      </c>
      <c r="C12">
        <v>6</v>
      </c>
      <c r="D12">
        <v>6</v>
      </c>
      <c r="E12">
        <f t="shared" si="1"/>
        <v>21</v>
      </c>
      <c r="F12">
        <f>IF(Table3[[#This Row],[Line 1]]=12,$B$2,$C$2) * IF(Table3[[#This Row],[Line 2]]=9,$B$2,$C$2) * IF(Table3[[#This Row],[Line 3]]=9,$B$2,$C$2)</f>
        <v>5.6157215721269001E-4</v>
      </c>
    </row>
    <row r="13" spans="2:16" x14ac:dyDescent="0.25">
      <c r="B13">
        <v>12</v>
      </c>
      <c r="C13">
        <v>9</v>
      </c>
      <c r="D13" t="s">
        <v>37</v>
      </c>
      <c r="E13">
        <f>SUM(B13:D13)</f>
        <v>21</v>
      </c>
      <c r="F13">
        <f>$B$2^2</f>
        <v>1.1038957903334399E-2</v>
      </c>
    </row>
    <row r="14" spans="2:16" x14ac:dyDescent="0.25">
      <c r="B14">
        <v>12</v>
      </c>
      <c r="C14" t="s">
        <v>37</v>
      </c>
      <c r="D14">
        <v>9</v>
      </c>
      <c r="E14">
        <f>SUM(B14:D14)</f>
        <v>21</v>
      </c>
      <c r="F14">
        <f>$B$2^2</f>
        <v>1.1038957903334399E-2</v>
      </c>
    </row>
  </sheetData>
  <mergeCells count="2">
    <mergeCell ref="L1:M1"/>
    <mergeCell ref="O1:P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Black Cubes</vt:lpstr>
      <vt:lpstr>Red Cubes</vt:lpstr>
      <vt:lpstr>Rolling Averages</vt:lpstr>
      <vt:lpstr>Expected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2017-03-26T23:01:13Z</dcterms:modified>
</cp:coreProperties>
</file>